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kLytell\ANSYS\BLOGS_local\"/>
    </mc:Choice>
  </mc:AlternateContent>
  <xr:revisionPtr revIDLastSave="0" documentId="13_ncr:9_{78C7142F-133B-4AB3-AD07-04898CC2C492}" xr6:coauthVersionLast="47" xr6:coauthVersionMax="47" xr10:uidLastSave="{00000000-0000-0000-0000-000000000000}"/>
  <bookViews>
    <workbookView xWindow="-108" yWindow="-108" windowWidth="30936" windowHeight="16776" activeTab="1" xr2:uid="{CED5FF2F-0351-45D6-9C14-CBAE35CCEE0C}"/>
  </bookViews>
  <sheets>
    <sheet name="Chart1" sheetId="2" r:id="rId1"/>
    <sheet name="steel_scf_stress_vs_force" sheetId="1" r:id="rId2"/>
  </sheets>
  <calcPr calcId="0"/>
</workbook>
</file>

<file path=xl/calcChain.xml><?xml version="1.0" encoding="utf-8"?>
<calcChain xmlns="http://schemas.openxmlformats.org/spreadsheetml/2006/main">
  <c r="Q20" i="1" l="1"/>
  <c r="R20" i="1"/>
  <c r="Q21" i="1"/>
  <c r="R21" i="1"/>
  <c r="O20" i="1"/>
  <c r="O21" i="1"/>
  <c r="N20" i="1"/>
  <c r="N19" i="1"/>
  <c r="N18" i="1"/>
  <c r="N17" i="1"/>
  <c r="N16" i="1"/>
  <c r="N15" i="1"/>
  <c r="O15" i="1" s="1"/>
  <c r="Q15" i="1" s="1"/>
  <c r="N14" i="1"/>
  <c r="O14" i="1" s="1"/>
  <c r="Q14" i="1" s="1"/>
  <c r="N13" i="1"/>
  <c r="O13" i="1" s="1"/>
  <c r="Q13" i="1" s="1"/>
  <c r="N12" i="1"/>
  <c r="O12" i="1" s="1"/>
  <c r="Q12" i="1" s="1"/>
  <c r="N11" i="1"/>
  <c r="O11" i="1" s="1"/>
  <c r="Q11" i="1" s="1"/>
  <c r="N10" i="1"/>
  <c r="O10" i="1" s="1"/>
  <c r="Q10" i="1" s="1"/>
  <c r="N9" i="1"/>
  <c r="O9" i="1" s="1"/>
  <c r="Q9" i="1" s="1"/>
  <c r="N8" i="1"/>
  <c r="O8" i="1" s="1"/>
  <c r="Q8" i="1" s="1"/>
  <c r="N7" i="1"/>
  <c r="O7" i="1" s="1"/>
  <c r="Q7" i="1" s="1"/>
  <c r="N6" i="1"/>
  <c r="O6" i="1" s="1"/>
  <c r="Q6" i="1" s="1"/>
  <c r="O19" i="1"/>
  <c r="R19" i="1" s="1"/>
  <c r="O18" i="1"/>
  <c r="Q18" i="1" s="1"/>
  <c r="O17" i="1"/>
  <c r="Q17" i="1" s="1"/>
  <c r="O16" i="1"/>
  <c r="Q16" i="1" s="1"/>
  <c r="O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6" i="1"/>
  <c r="L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5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B1" i="1"/>
  <c r="B6" i="1"/>
  <c r="C6" i="1" s="1"/>
  <c r="F6" i="1" s="1"/>
  <c r="B7" i="1"/>
  <c r="C7" i="1" s="1"/>
  <c r="F7" i="1" s="1"/>
  <c r="B8" i="1"/>
  <c r="B9" i="1"/>
  <c r="B10" i="1"/>
  <c r="B11" i="1"/>
  <c r="B12" i="1"/>
  <c r="B13" i="1"/>
  <c r="B14" i="1"/>
  <c r="Q19" i="1" l="1"/>
  <c r="R13" i="1"/>
  <c r="R6" i="1"/>
  <c r="R7" i="1"/>
  <c r="R8" i="1"/>
  <c r="R9" i="1"/>
  <c r="R10" i="1"/>
  <c r="R11" i="1"/>
  <c r="R12" i="1"/>
  <c r="R14" i="1"/>
  <c r="R15" i="1"/>
  <c r="R16" i="1"/>
  <c r="R17" i="1"/>
  <c r="R18" i="1"/>
  <c r="C8" i="1"/>
  <c r="E6" i="1"/>
  <c r="C5" i="1"/>
  <c r="E7" i="1"/>
  <c r="C15" i="1"/>
  <c r="C14" i="1"/>
  <c r="C13" i="1"/>
  <c r="C12" i="1"/>
  <c r="C11" i="1"/>
  <c r="C10" i="1"/>
  <c r="C9" i="1"/>
  <c r="F15" i="1" l="1"/>
  <c r="E15" i="1"/>
  <c r="F9" i="1"/>
  <c r="E9" i="1"/>
  <c r="F10" i="1"/>
  <c r="E10" i="1"/>
  <c r="F11" i="1"/>
  <c r="E11" i="1"/>
  <c r="F12" i="1"/>
  <c r="E12" i="1"/>
  <c r="F13" i="1"/>
  <c r="E13" i="1"/>
  <c r="F14" i="1"/>
  <c r="E14" i="1"/>
  <c r="F8" i="1"/>
  <c r="E8" i="1"/>
</calcChain>
</file>

<file path=xl/sharedStrings.xml><?xml version="1.0" encoding="utf-8"?>
<sst xmlns="http://schemas.openxmlformats.org/spreadsheetml/2006/main" count="28" uniqueCount="12">
  <si>
    <t>Time [s]</t>
  </si>
  <si>
    <t>Force (X) [N]</t>
  </si>
  <si>
    <r>
      <t>Non Stress Area [mm</t>
    </r>
    <r>
      <rPr>
        <vertAlign val="super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]</t>
    </r>
  </si>
  <si>
    <r>
      <t>S</t>
    </r>
    <r>
      <rPr>
        <vertAlign val="subscript"/>
        <sz val="11"/>
        <color theme="1"/>
        <rFont val="Aptos Narrow"/>
        <family val="2"/>
        <scheme val="minor"/>
      </rPr>
      <t>nom</t>
    </r>
    <r>
      <rPr>
        <sz val="11"/>
        <color theme="1"/>
        <rFont val="Aptos Narrow"/>
        <family val="2"/>
        <scheme val="minor"/>
      </rPr>
      <t xml:space="preserve"> [MPa]</t>
    </r>
  </si>
  <si>
    <t>K</t>
  </si>
  <si>
    <t>Eqv Stress in Hole [MPa]</t>
  </si>
  <si>
    <t>Reference Stress [MPa]</t>
  </si>
  <si>
    <r>
      <t>S</t>
    </r>
    <r>
      <rPr>
        <vertAlign val="subscript"/>
        <sz val="11"/>
        <color theme="1"/>
        <rFont val="Aptos Narrow"/>
        <family val="2"/>
        <scheme val="minor"/>
      </rPr>
      <t>nom</t>
    </r>
    <r>
      <rPr>
        <sz val="11"/>
        <color theme="1"/>
        <rFont val="Aptos Narrow"/>
        <family val="2"/>
        <scheme val="minor"/>
      </rPr>
      <t>/S</t>
    </r>
    <r>
      <rPr>
        <vertAlign val="subscript"/>
        <sz val="11"/>
        <color theme="1"/>
        <rFont val="Aptos Narrow"/>
        <family val="2"/>
        <scheme val="minor"/>
      </rPr>
      <t>ref</t>
    </r>
  </si>
  <si>
    <t>Steel</t>
  </si>
  <si>
    <t>Elastomer</t>
  </si>
  <si>
    <t>ABS</t>
  </si>
  <si>
    <t>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</si>
</sst>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0" fillId="0" borderId="0" xfId="0" applyFont="1" applyAlignment="1">
      <alignment horizontal="center"/>
    </xf>
    <xf numFmtId="0" fontId="0" fillId="0" borderId="10" xfId="0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Stress Concentration Factor</a:t>
            </a:r>
            <a:r>
              <a:rPr lang="en-US" sz="1800" baseline="0"/>
              <a:t> vs. Stress Ratio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steel_scf_stress_vs_force!$A$2</c:f>
              <c:strCache>
                <c:ptCount val="1"/>
                <c:pt idx="0">
                  <c:v>Steel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steel_scf_stress_vs_force!$E$6:$E$15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steel_scf_stress_vs_force!$F$6:$F$15</c:f>
              <c:numCache>
                <c:formatCode>0.00</c:formatCode>
                <c:ptCount val="10"/>
                <c:pt idx="0">
                  <c:v>2.7786</c:v>
                </c:pt>
                <c:pt idx="1">
                  <c:v>2.7784500000000003</c:v>
                </c:pt>
                <c:pt idx="2">
                  <c:v>2.7783333333333333</c:v>
                </c:pt>
                <c:pt idx="3">
                  <c:v>2.7782499999999999</c:v>
                </c:pt>
                <c:pt idx="4">
                  <c:v>2.7782</c:v>
                </c:pt>
                <c:pt idx="5">
                  <c:v>2.778</c:v>
                </c:pt>
                <c:pt idx="6">
                  <c:v>2.7778571428571426</c:v>
                </c:pt>
                <c:pt idx="7">
                  <c:v>2.7777500000000002</c:v>
                </c:pt>
                <c:pt idx="8">
                  <c:v>2.7776666666666667</c:v>
                </c:pt>
                <c:pt idx="9">
                  <c:v>2.7774999999999999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83-43CC-9A45-F92AA477B661}"/>
            </c:ext>
          </c:extLst>
        </c:ser>
        <c:ser>
          <c:idx val="1"/>
          <c:order val="1"/>
          <c:tx>
            <c:strRef>
              <c:f>steel_scf_stress_vs_force!$G$2</c:f>
              <c:strCache>
                <c:ptCount val="1"/>
                <c:pt idx="0">
                  <c:v>Elastomer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steel_scf_stress_vs_force!$K$6:$K$19</c:f>
              <c:numCache>
                <c:formatCode>0.00</c:formatCode>
                <c:ptCount val="14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0.87</c:v>
                </c:pt>
                <c:pt idx="5">
                  <c:v>0.94</c:v>
                </c:pt>
                <c:pt idx="6">
                  <c:v>1.0449999999999999</c:v>
                </c:pt>
                <c:pt idx="7">
                  <c:v>1.2024888888888889</c:v>
                </c:pt>
                <c:pt idx="8">
                  <c:v>1.272488888888889</c:v>
                </c:pt>
                <c:pt idx="9">
                  <c:v>1.342511111111111</c:v>
                </c:pt>
                <c:pt idx="10">
                  <c:v>1.4475111111111112</c:v>
                </c:pt>
                <c:pt idx="11">
                  <c:v>1.605</c:v>
                </c:pt>
                <c:pt idx="12">
                  <c:v>1.8049999999999999</c:v>
                </c:pt>
                <c:pt idx="13">
                  <c:v>2</c:v>
                </c:pt>
              </c:numCache>
            </c:numRef>
          </c:xVal>
          <c:yVal>
            <c:numRef>
              <c:f>steel_scf_stress_vs_force!$L$6:$L$19</c:f>
              <c:numCache>
                <c:formatCode>0.00</c:formatCode>
                <c:ptCount val="14"/>
                <c:pt idx="0">
                  <c:v>2.8255499999999998</c:v>
                </c:pt>
                <c:pt idx="1">
                  <c:v>2.81575</c:v>
                </c:pt>
                <c:pt idx="2">
                  <c:v>2.9306666666666668</c:v>
                </c:pt>
                <c:pt idx="3">
                  <c:v>3.7941249999999997</c:v>
                </c:pt>
                <c:pt idx="4">
                  <c:v>4.3372413793103446</c:v>
                </c:pt>
                <c:pt idx="5">
                  <c:v>4.9794680851063831</c:v>
                </c:pt>
                <c:pt idx="6">
                  <c:v>6.0505263157894742</c:v>
                </c:pt>
                <c:pt idx="7">
                  <c:v>7.5131671348314599</c:v>
                </c:pt>
                <c:pt idx="8">
                  <c:v>7.9812091788620725</c:v>
                </c:pt>
                <c:pt idx="9">
                  <c:v>8.3381060367801645</c:v>
                </c:pt>
                <c:pt idx="10">
                  <c:v>8.7246307838742361</c:v>
                </c:pt>
                <c:pt idx="11">
                  <c:v>9.1077881619937706</c:v>
                </c:pt>
                <c:pt idx="12">
                  <c:v>9.4227146814404428</c:v>
                </c:pt>
                <c:pt idx="13">
                  <c:v>9.6385000000000005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83-43CC-9A45-F92AA477B661}"/>
            </c:ext>
          </c:extLst>
        </c:ser>
        <c:ser>
          <c:idx val="2"/>
          <c:order val="2"/>
          <c:tx>
            <c:strRef>
              <c:f>steel_scf_stress_vs_force!$M$2</c:f>
              <c:strCache>
                <c:ptCount val="1"/>
                <c:pt idx="0">
                  <c:v>ABS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steel_scf_stress_vs_force!$Q$6:$Q$21</c:f>
              <c:numCache>
                <c:formatCode>0.00</c:formatCode>
                <c:ptCount val="16"/>
                <c:pt idx="0">
                  <c:v>0.13714285714285715</c:v>
                </c:pt>
                <c:pt idx="1">
                  <c:v>0.2742857142857143</c:v>
                </c:pt>
                <c:pt idx="2">
                  <c:v>0.41142857142857142</c:v>
                </c:pt>
                <c:pt idx="3">
                  <c:v>0.5485714285714286</c:v>
                </c:pt>
                <c:pt idx="4">
                  <c:v>0.68571428571428572</c:v>
                </c:pt>
                <c:pt idx="5">
                  <c:v>0.82285714285714284</c:v>
                </c:pt>
                <c:pt idx="6">
                  <c:v>0.96000000000000008</c:v>
                </c:pt>
                <c:pt idx="7">
                  <c:v>1.0971428571428572</c:v>
                </c:pt>
                <c:pt idx="8">
                  <c:v>1.2222222222222223</c:v>
                </c:pt>
                <c:pt idx="9">
                  <c:v>1.2711111111111111</c:v>
                </c:pt>
                <c:pt idx="10">
                  <c:v>1.3046349206349208</c:v>
                </c:pt>
                <c:pt idx="11">
                  <c:v>1.3279365079365077</c:v>
                </c:pt>
                <c:pt idx="12">
                  <c:v>1.3457142857142859</c:v>
                </c:pt>
                <c:pt idx="13">
                  <c:v>1.3588571428571428</c:v>
                </c:pt>
                <c:pt idx="14">
                  <c:v>1.3688888888888888</c:v>
                </c:pt>
                <c:pt idx="15">
                  <c:v>1.3714285714285714</c:v>
                </c:pt>
              </c:numCache>
            </c:numRef>
          </c:xVal>
          <c:yVal>
            <c:numRef>
              <c:f>steel_scf_stress_vs_force!$R$6:$R$21</c:f>
              <c:numCache>
                <c:formatCode>0.00</c:formatCode>
                <c:ptCount val="16"/>
                <c:pt idx="0">
                  <c:v>2.8079166666666668</c:v>
                </c:pt>
                <c:pt idx="1">
                  <c:v>2.8072916666666665</c:v>
                </c:pt>
                <c:pt idx="2">
                  <c:v>2.7437499999999999</c:v>
                </c:pt>
                <c:pt idx="3">
                  <c:v>2.3014062499999999</c:v>
                </c:pt>
                <c:pt idx="4">
                  <c:v>1.8888749999999999</c:v>
                </c:pt>
                <c:pt idx="5">
                  <c:v>1.5833333333333333</c:v>
                </c:pt>
                <c:pt idx="6">
                  <c:v>1.3686309523809523</c:v>
                </c:pt>
                <c:pt idx="7">
                  <c:v>1.2159375000000001</c:v>
                </c:pt>
                <c:pt idx="8">
                  <c:v>1.1876025974025972</c:v>
                </c:pt>
                <c:pt idx="9">
                  <c:v>1.1929945054945057</c:v>
                </c:pt>
                <c:pt idx="10">
                  <c:v>1.1930650184932838</c:v>
                </c:pt>
                <c:pt idx="11">
                  <c:v>1.1957757590246236</c:v>
                </c:pt>
                <c:pt idx="12">
                  <c:v>1.1997239915074309</c:v>
                </c:pt>
                <c:pt idx="13">
                  <c:v>1.2066652649285114</c:v>
                </c:pt>
                <c:pt idx="14">
                  <c:v>1.2154174397031539</c:v>
                </c:pt>
                <c:pt idx="15">
                  <c:v>1.2207916666666667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83-43CC-9A45-F92AA477B661}"/>
            </c:ext>
          </c:extLst>
        </c:ser>
        <c:ser>
          <c:idx val="3"/>
          <c:order val="3"/>
          <c:tx>
            <c:strRef>
              <c:f>steel_scf_stress_vs_force!$S$2</c:f>
              <c:strCache>
                <c:ptCount val="1"/>
                <c:pt idx="0">
                  <c:v>Theory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steel_scf_stress_vs_force!$S$6:$S$16</c:f>
              <c:numCache>
                <c:formatCode>0.00</c:formatCode>
                <c:ptCount val="11"/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steel_scf_stress_vs_force!$T$6:$T$16</c:f>
              <c:numCache>
                <c:formatCode>0.00</c:formatCode>
                <c:ptCount val="11"/>
                <c:pt idx="1">
                  <c:v>2.72</c:v>
                </c:pt>
                <c:pt idx="2">
                  <c:v>2.72</c:v>
                </c:pt>
                <c:pt idx="3">
                  <c:v>2.72</c:v>
                </c:pt>
                <c:pt idx="4">
                  <c:v>2.72</c:v>
                </c:pt>
                <c:pt idx="5">
                  <c:v>2.72</c:v>
                </c:pt>
                <c:pt idx="6">
                  <c:v>2.72</c:v>
                </c:pt>
                <c:pt idx="7">
                  <c:v>2.72</c:v>
                </c:pt>
                <c:pt idx="8">
                  <c:v>2.72</c:v>
                </c:pt>
                <c:pt idx="9">
                  <c:v>2.72</c:v>
                </c:pt>
                <c:pt idx="10">
                  <c:v>2.72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83-43CC-9A45-F92AA477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345999"/>
        <c:axId val="340990735"/>
      </c:scatterChart>
      <c:valAx>
        <c:axId val="386345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S</a:t>
                </a:r>
                <a:r>
                  <a:rPr lang="en-US" sz="1400" baseline="-25000"/>
                  <a:t>nom</a:t>
                </a:r>
                <a:r>
                  <a:rPr lang="en-US" sz="1400"/>
                  <a:t>/S</a:t>
                </a:r>
                <a:r>
                  <a:rPr lang="en-US" sz="1400" baseline="-25000"/>
                  <a:t>ref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990735"/>
        <c:crosses val="autoZero"/>
        <c:crossBetween val="midCat"/>
      </c:valAx>
      <c:valAx>
        <c:axId val="34099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3459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E29EC1A-7A8A-402F-B78A-80D1EF1E047D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6C5EF4-C6F8-9AD8-EA8D-0B30017407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FF5E-E8F5-426F-9D0C-0FE407B39874}">
  <dimension ref="A1:T21"/>
  <sheetViews>
    <sheetView tabSelected="1" workbookViewId="0">
      <selection activeCell="S6" sqref="S6:T6"/>
    </sheetView>
  </sheetViews>
  <sheetFormatPr defaultRowHeight="14.4" x14ac:dyDescent="0.3"/>
  <cols>
    <col min="1" max="1" width="19.21875" style="1" bestFit="1" customWidth="1"/>
    <col min="2" max="2" width="10.88671875" style="1" bestFit="1" customWidth="1"/>
    <col min="3" max="3" width="10.88671875" style="1" customWidth="1"/>
    <col min="4" max="4" width="20.21875" style="1" bestFit="1" customWidth="1"/>
    <col min="5" max="5" width="7.44140625" style="1" bestFit="1" customWidth="1"/>
    <col min="6" max="6" width="8.88671875" style="1"/>
    <col min="7" max="7" width="19.88671875" style="8" bestFit="1" customWidth="1"/>
    <col min="8" max="8" width="10.88671875" style="1" bestFit="1" customWidth="1"/>
    <col min="9" max="9" width="10.88671875" style="1" customWidth="1"/>
    <col min="10" max="10" width="20.21875" style="1" bestFit="1" customWidth="1"/>
    <col min="13" max="13" width="19.88671875" style="8" bestFit="1" customWidth="1"/>
    <col min="14" max="14" width="10.88671875" style="1" bestFit="1" customWidth="1"/>
    <col min="15" max="15" width="10.88671875" style="1" customWidth="1"/>
    <col min="16" max="16" width="20.21875" style="1" bestFit="1" customWidth="1"/>
    <col min="17" max="17" width="9.5546875" style="1" bestFit="1" customWidth="1"/>
    <col min="18" max="18" width="8.88671875" style="1"/>
    <col min="19" max="19" width="8.88671875" style="5"/>
  </cols>
  <sheetData>
    <row r="1" spans="1:20" ht="16.2" x14ac:dyDescent="0.3">
      <c r="A1" s="6" t="s">
        <v>2</v>
      </c>
      <c r="B1" s="1">
        <f>22.5*2</f>
        <v>45</v>
      </c>
    </row>
    <row r="2" spans="1:20" ht="18" x14ac:dyDescent="0.35">
      <c r="A2" s="4" t="s">
        <v>8</v>
      </c>
      <c r="B2" s="4"/>
      <c r="C2" s="4"/>
      <c r="D2" s="4"/>
      <c r="E2" s="4"/>
      <c r="F2" s="4"/>
      <c r="G2" s="9" t="s">
        <v>9</v>
      </c>
      <c r="H2" s="10"/>
      <c r="I2" s="10"/>
      <c r="J2" s="10"/>
      <c r="K2" s="10"/>
      <c r="L2" s="10"/>
      <c r="M2" s="9" t="s">
        <v>10</v>
      </c>
      <c r="N2" s="10"/>
      <c r="O2" s="10"/>
      <c r="P2" s="10"/>
      <c r="Q2" s="10"/>
      <c r="R2" s="10"/>
      <c r="S2" s="9" t="s">
        <v>11</v>
      </c>
      <c r="T2" s="10"/>
    </row>
    <row r="3" spans="1:20" x14ac:dyDescent="0.3">
      <c r="A3" s="6" t="s">
        <v>6</v>
      </c>
      <c r="B3" s="1">
        <v>100</v>
      </c>
      <c r="G3" s="7" t="s">
        <v>6</v>
      </c>
      <c r="H3" s="1">
        <v>1</v>
      </c>
      <c r="M3" s="7" t="s">
        <v>6</v>
      </c>
      <c r="N3" s="1">
        <v>35</v>
      </c>
    </row>
    <row r="4" spans="1:20" ht="15.6" x14ac:dyDescent="0.35">
      <c r="A4" s="1" t="s">
        <v>0</v>
      </c>
      <c r="B4" s="1" t="s">
        <v>1</v>
      </c>
      <c r="C4" s="1" t="s">
        <v>3</v>
      </c>
      <c r="D4" s="1" t="s">
        <v>5</v>
      </c>
      <c r="E4" s="1" t="s">
        <v>7</v>
      </c>
      <c r="F4" s="1" t="s">
        <v>4</v>
      </c>
      <c r="G4" s="8" t="s">
        <v>0</v>
      </c>
      <c r="H4" s="1" t="s">
        <v>1</v>
      </c>
      <c r="I4" s="1" t="s">
        <v>3</v>
      </c>
      <c r="J4" s="1" t="s">
        <v>5</v>
      </c>
      <c r="K4" s="1" t="s">
        <v>7</v>
      </c>
      <c r="L4" s="1" t="s">
        <v>4</v>
      </c>
      <c r="M4" s="8" t="s">
        <v>0</v>
      </c>
      <c r="N4" s="1" t="s">
        <v>1</v>
      </c>
      <c r="O4" s="1" t="s">
        <v>3</v>
      </c>
      <c r="P4" s="1" t="s">
        <v>5</v>
      </c>
      <c r="Q4" s="1" t="s">
        <v>7</v>
      </c>
      <c r="R4" s="1" t="s">
        <v>4</v>
      </c>
      <c r="S4" s="8" t="s">
        <v>7</v>
      </c>
      <c r="T4" s="1" t="s">
        <v>4</v>
      </c>
    </row>
    <row r="5" spans="1:20" x14ac:dyDescent="0.3">
      <c r="A5" s="1">
        <v>0</v>
      </c>
      <c r="B5" s="1">
        <v>0</v>
      </c>
      <c r="C5" s="1">
        <f>B5/$B$1</f>
        <v>0</v>
      </c>
      <c r="G5" s="8">
        <v>0</v>
      </c>
      <c r="H5" s="1">
        <v>0</v>
      </c>
      <c r="I5" s="2">
        <f>H5/$B$1</f>
        <v>0</v>
      </c>
      <c r="K5" s="1"/>
      <c r="L5" s="1"/>
      <c r="M5" s="8">
        <v>0</v>
      </c>
      <c r="N5" s="1">
        <v>0</v>
      </c>
      <c r="O5" s="2">
        <f>N5/$B$1</f>
        <v>0</v>
      </c>
      <c r="S5" s="8"/>
      <c r="T5" s="1"/>
    </row>
    <row r="6" spans="1:20" x14ac:dyDescent="0.3">
      <c r="A6" s="1">
        <v>0.1</v>
      </c>
      <c r="B6" s="1">
        <f xml:space="preserve"> 450</f>
        <v>450</v>
      </c>
      <c r="C6" s="1">
        <f t="shared" ref="C6:C15" si="0">B6/$B$1</f>
        <v>10</v>
      </c>
      <c r="D6" s="3">
        <v>27.786000000000001</v>
      </c>
      <c r="E6" s="3">
        <f>C6/$B$3</f>
        <v>0.1</v>
      </c>
      <c r="F6" s="3">
        <f>D6/C6</f>
        <v>2.7786</v>
      </c>
      <c r="G6" s="8">
        <v>0.1</v>
      </c>
      <c r="H6" s="1">
        <f xml:space="preserve"> 9</f>
        <v>9</v>
      </c>
      <c r="I6" s="2">
        <f t="shared" ref="I6:I19" si="1">H6/$B$1</f>
        <v>0.2</v>
      </c>
      <c r="J6" s="3">
        <v>0.56511</v>
      </c>
      <c r="K6" s="3">
        <f>I6/$H$3</f>
        <v>0.2</v>
      </c>
      <c r="L6" s="3">
        <f>J6/I6</f>
        <v>2.8255499999999998</v>
      </c>
      <c r="M6" s="8">
        <v>0.1</v>
      </c>
      <c r="N6" s="1">
        <f xml:space="preserve"> 216</f>
        <v>216</v>
      </c>
      <c r="O6" s="2">
        <f t="shared" ref="O6:O21" si="2">N6/$B$1</f>
        <v>4.8</v>
      </c>
      <c r="P6" s="3">
        <v>13.478</v>
      </c>
      <c r="Q6" s="3">
        <f>O6/$N$3</f>
        <v>0.13714285714285715</v>
      </c>
      <c r="R6" s="3">
        <f>P6/O6</f>
        <v>2.8079166666666668</v>
      </c>
      <c r="S6" s="11"/>
      <c r="T6" s="3"/>
    </row>
    <row r="7" spans="1:20" x14ac:dyDescent="0.3">
      <c r="A7" s="1">
        <v>0.2</v>
      </c>
      <c r="B7" s="1">
        <f xml:space="preserve"> 900</f>
        <v>900</v>
      </c>
      <c r="C7" s="1">
        <f t="shared" si="0"/>
        <v>20</v>
      </c>
      <c r="D7" s="3">
        <v>55.569000000000003</v>
      </c>
      <c r="E7" s="3">
        <f t="shared" ref="E7:E15" si="3">C7/$B$3</f>
        <v>0.2</v>
      </c>
      <c r="F7" s="3">
        <f t="shared" ref="F7:F15" si="4">D7/C7</f>
        <v>2.7784500000000003</v>
      </c>
      <c r="G7" s="8">
        <v>0.2</v>
      </c>
      <c r="H7" s="1">
        <f xml:space="preserve"> 18</f>
        <v>18</v>
      </c>
      <c r="I7" s="2">
        <f t="shared" si="1"/>
        <v>0.4</v>
      </c>
      <c r="J7" s="3">
        <v>1.1263000000000001</v>
      </c>
      <c r="K7" s="3">
        <f t="shared" ref="K7:K19" si="5">I7/$H$3</f>
        <v>0.4</v>
      </c>
      <c r="L7" s="3">
        <f t="shared" ref="L7:L19" si="6">J7/I7</f>
        <v>2.81575</v>
      </c>
      <c r="M7" s="8">
        <v>0.2</v>
      </c>
      <c r="N7" s="1">
        <f xml:space="preserve"> 432</f>
        <v>432</v>
      </c>
      <c r="O7" s="2">
        <f t="shared" si="2"/>
        <v>9.6</v>
      </c>
      <c r="P7" s="3">
        <v>26.95</v>
      </c>
      <c r="Q7" s="3">
        <f t="shared" ref="Q7:Q19" si="7">O7/$N$3</f>
        <v>0.2742857142857143</v>
      </c>
      <c r="R7" s="3">
        <f t="shared" ref="R7:R19" si="8">P7/O7</f>
        <v>2.8072916666666665</v>
      </c>
      <c r="S7" s="11">
        <v>0.2</v>
      </c>
      <c r="T7" s="3">
        <v>2.72</v>
      </c>
    </row>
    <row r="8" spans="1:20" x14ac:dyDescent="0.3">
      <c r="A8" s="1">
        <v>0.3</v>
      </c>
      <c r="B8" s="1">
        <f xml:space="preserve"> 1350</f>
        <v>1350</v>
      </c>
      <c r="C8" s="1">
        <f t="shared" si="0"/>
        <v>30</v>
      </c>
      <c r="D8" s="3">
        <v>83.35</v>
      </c>
      <c r="E8" s="3">
        <f t="shared" si="3"/>
        <v>0.3</v>
      </c>
      <c r="F8" s="3">
        <f t="shared" si="4"/>
        <v>2.7783333333333333</v>
      </c>
      <c r="G8" s="8">
        <v>0.3</v>
      </c>
      <c r="H8" s="1">
        <f xml:space="preserve"> 27</f>
        <v>27</v>
      </c>
      <c r="I8" s="2">
        <f t="shared" si="1"/>
        <v>0.6</v>
      </c>
      <c r="J8" s="3">
        <v>1.7584</v>
      </c>
      <c r="K8" s="3">
        <f t="shared" si="5"/>
        <v>0.6</v>
      </c>
      <c r="L8" s="3">
        <f t="shared" si="6"/>
        <v>2.9306666666666668</v>
      </c>
      <c r="M8" s="8">
        <v>0.3</v>
      </c>
      <c r="N8" s="1">
        <f xml:space="preserve"> 648</f>
        <v>648</v>
      </c>
      <c r="O8" s="2">
        <f t="shared" si="2"/>
        <v>14.4</v>
      </c>
      <c r="P8" s="3">
        <v>39.51</v>
      </c>
      <c r="Q8" s="3">
        <f t="shared" si="7"/>
        <v>0.41142857142857142</v>
      </c>
      <c r="R8" s="3">
        <f t="shared" si="8"/>
        <v>2.7437499999999999</v>
      </c>
      <c r="S8" s="11">
        <v>0.4</v>
      </c>
      <c r="T8" s="3">
        <v>2.72</v>
      </c>
    </row>
    <row r="9" spans="1:20" x14ac:dyDescent="0.3">
      <c r="A9" s="1">
        <v>0.4</v>
      </c>
      <c r="B9" s="1">
        <f xml:space="preserve"> 1800</f>
        <v>1800</v>
      </c>
      <c r="C9" s="1">
        <f t="shared" si="0"/>
        <v>40</v>
      </c>
      <c r="D9" s="3">
        <v>111.13</v>
      </c>
      <c r="E9" s="3">
        <f t="shared" si="3"/>
        <v>0.4</v>
      </c>
      <c r="F9" s="3">
        <f t="shared" si="4"/>
        <v>2.7782499999999999</v>
      </c>
      <c r="G9" s="8">
        <v>0.4</v>
      </c>
      <c r="H9" s="1">
        <f xml:space="preserve"> 36</f>
        <v>36</v>
      </c>
      <c r="I9" s="2">
        <f t="shared" si="1"/>
        <v>0.8</v>
      </c>
      <c r="J9" s="3">
        <v>3.0352999999999999</v>
      </c>
      <c r="K9" s="3">
        <f t="shared" si="5"/>
        <v>0.8</v>
      </c>
      <c r="L9" s="3">
        <f t="shared" si="6"/>
        <v>3.7941249999999997</v>
      </c>
      <c r="M9" s="8">
        <v>0.4</v>
      </c>
      <c r="N9" s="1">
        <f xml:space="preserve"> 864</f>
        <v>864</v>
      </c>
      <c r="O9" s="2">
        <f t="shared" si="2"/>
        <v>19.2</v>
      </c>
      <c r="P9" s="3">
        <v>44.186999999999998</v>
      </c>
      <c r="Q9" s="3">
        <f t="shared" si="7"/>
        <v>0.5485714285714286</v>
      </c>
      <c r="R9" s="3">
        <f t="shared" si="8"/>
        <v>2.3014062499999999</v>
      </c>
      <c r="S9" s="11">
        <v>0.6</v>
      </c>
      <c r="T9" s="3">
        <v>2.72</v>
      </c>
    </row>
    <row r="10" spans="1:20" x14ac:dyDescent="0.3">
      <c r="A10" s="1">
        <v>0.5</v>
      </c>
      <c r="B10" s="1">
        <f xml:space="preserve"> 2250</f>
        <v>2250</v>
      </c>
      <c r="C10" s="1">
        <f t="shared" si="0"/>
        <v>50</v>
      </c>
      <c r="D10" s="3">
        <v>138.91</v>
      </c>
      <c r="E10" s="3">
        <f t="shared" si="3"/>
        <v>0.5</v>
      </c>
      <c r="F10" s="3">
        <f t="shared" si="4"/>
        <v>2.7782</v>
      </c>
      <c r="G10" s="8">
        <v>0.435</v>
      </c>
      <c r="H10" s="1">
        <f xml:space="preserve"> 39.15</f>
        <v>39.15</v>
      </c>
      <c r="I10" s="2">
        <f t="shared" si="1"/>
        <v>0.87</v>
      </c>
      <c r="J10" s="3">
        <v>3.7734000000000001</v>
      </c>
      <c r="K10" s="3">
        <f t="shared" si="5"/>
        <v>0.87</v>
      </c>
      <c r="L10" s="3">
        <f t="shared" si="6"/>
        <v>4.3372413793103446</v>
      </c>
      <c r="M10" s="8">
        <v>0.5</v>
      </c>
      <c r="N10" s="1">
        <f xml:space="preserve"> 1080</f>
        <v>1080</v>
      </c>
      <c r="O10" s="2">
        <f t="shared" si="2"/>
        <v>24</v>
      </c>
      <c r="P10" s="3">
        <v>45.332999999999998</v>
      </c>
      <c r="Q10" s="3">
        <f t="shared" si="7"/>
        <v>0.68571428571428572</v>
      </c>
      <c r="R10" s="3">
        <f t="shared" si="8"/>
        <v>1.8888749999999999</v>
      </c>
      <c r="S10" s="11">
        <v>0.8</v>
      </c>
      <c r="T10" s="3">
        <v>2.72</v>
      </c>
    </row>
    <row r="11" spans="1:20" x14ac:dyDescent="0.3">
      <c r="A11" s="1">
        <v>0.6</v>
      </c>
      <c r="B11" s="1">
        <f xml:space="preserve"> 2700</f>
        <v>2700</v>
      </c>
      <c r="C11" s="1">
        <f t="shared" si="0"/>
        <v>60</v>
      </c>
      <c r="D11" s="3">
        <v>166.68</v>
      </c>
      <c r="E11" s="3">
        <f t="shared" si="3"/>
        <v>0.6</v>
      </c>
      <c r="F11" s="3">
        <f t="shared" si="4"/>
        <v>2.778</v>
      </c>
      <c r="G11" s="8">
        <v>0.47</v>
      </c>
      <c r="H11" s="1">
        <f xml:space="preserve"> 42.3</f>
        <v>42.3</v>
      </c>
      <c r="I11" s="2">
        <f t="shared" si="1"/>
        <v>0.94</v>
      </c>
      <c r="J11" s="3">
        <v>4.6806999999999999</v>
      </c>
      <c r="K11" s="3">
        <f t="shared" si="5"/>
        <v>0.94</v>
      </c>
      <c r="L11" s="3">
        <f t="shared" si="6"/>
        <v>4.9794680851063831</v>
      </c>
      <c r="M11" s="8">
        <v>0.6</v>
      </c>
      <c r="N11" s="1">
        <f xml:space="preserve"> 1296</f>
        <v>1296</v>
      </c>
      <c r="O11" s="2">
        <f t="shared" si="2"/>
        <v>28.8</v>
      </c>
      <c r="P11" s="3">
        <v>45.6</v>
      </c>
      <c r="Q11" s="3">
        <f t="shared" si="7"/>
        <v>0.82285714285714284</v>
      </c>
      <c r="R11" s="3">
        <f t="shared" si="8"/>
        <v>1.5833333333333333</v>
      </c>
      <c r="S11" s="11">
        <v>1</v>
      </c>
      <c r="T11" s="3">
        <v>2.72</v>
      </c>
    </row>
    <row r="12" spans="1:20" x14ac:dyDescent="0.3">
      <c r="A12" s="1">
        <v>0.7</v>
      </c>
      <c r="B12" s="1">
        <f xml:space="preserve"> 3150</f>
        <v>3150</v>
      </c>
      <c r="C12" s="1">
        <f t="shared" si="0"/>
        <v>70</v>
      </c>
      <c r="D12" s="3">
        <v>194.45</v>
      </c>
      <c r="E12" s="3">
        <f t="shared" si="3"/>
        <v>0.7</v>
      </c>
      <c r="F12" s="3">
        <f t="shared" si="4"/>
        <v>2.7778571428571426</v>
      </c>
      <c r="G12" s="8">
        <v>0.52249999999999996</v>
      </c>
      <c r="H12" s="1">
        <f xml:space="preserve"> 47.025</f>
        <v>47.024999999999999</v>
      </c>
      <c r="I12" s="2">
        <f t="shared" si="1"/>
        <v>1.0449999999999999</v>
      </c>
      <c r="J12" s="3">
        <v>6.3228</v>
      </c>
      <c r="K12" s="3">
        <f t="shared" si="5"/>
        <v>1.0449999999999999</v>
      </c>
      <c r="L12" s="3">
        <f t="shared" si="6"/>
        <v>6.0505263157894742</v>
      </c>
      <c r="M12" s="8">
        <v>0.7</v>
      </c>
      <c r="N12" s="1">
        <f xml:space="preserve"> 1512</f>
        <v>1512</v>
      </c>
      <c r="O12" s="2">
        <f t="shared" si="2"/>
        <v>33.6</v>
      </c>
      <c r="P12" s="3">
        <v>45.985999999999997</v>
      </c>
      <c r="Q12" s="3">
        <f t="shared" si="7"/>
        <v>0.96000000000000008</v>
      </c>
      <c r="R12" s="3">
        <f t="shared" si="8"/>
        <v>1.3686309523809523</v>
      </c>
      <c r="S12" s="11">
        <v>1.2</v>
      </c>
      <c r="T12" s="3">
        <v>2.72</v>
      </c>
    </row>
    <row r="13" spans="1:20" x14ac:dyDescent="0.3">
      <c r="A13" s="1">
        <v>0.8</v>
      </c>
      <c r="B13" s="1">
        <f xml:space="preserve"> 3600</f>
        <v>3600</v>
      </c>
      <c r="C13" s="1">
        <f t="shared" si="0"/>
        <v>80</v>
      </c>
      <c r="D13" s="3">
        <v>222.22</v>
      </c>
      <c r="E13" s="3">
        <f t="shared" si="3"/>
        <v>0.8</v>
      </c>
      <c r="F13" s="3">
        <f t="shared" si="4"/>
        <v>2.7777500000000002</v>
      </c>
      <c r="G13" s="8">
        <v>0.60124999999999995</v>
      </c>
      <c r="H13" s="1">
        <f xml:space="preserve"> 54.112</f>
        <v>54.112000000000002</v>
      </c>
      <c r="I13" s="2">
        <f t="shared" si="1"/>
        <v>1.2024888888888889</v>
      </c>
      <c r="J13" s="3">
        <v>9.0344999999999995</v>
      </c>
      <c r="K13" s="3">
        <f t="shared" si="5"/>
        <v>1.2024888888888889</v>
      </c>
      <c r="L13" s="3">
        <f t="shared" si="6"/>
        <v>7.5131671348314599</v>
      </c>
      <c r="M13" s="8">
        <v>0.8</v>
      </c>
      <c r="N13" s="1">
        <f xml:space="preserve"> 1728</f>
        <v>1728</v>
      </c>
      <c r="O13" s="2">
        <f t="shared" si="2"/>
        <v>38.4</v>
      </c>
      <c r="P13" s="3">
        <v>46.692</v>
      </c>
      <c r="Q13" s="3">
        <f t="shared" si="7"/>
        <v>1.0971428571428572</v>
      </c>
      <c r="R13" s="3">
        <f t="shared" si="8"/>
        <v>1.2159375000000001</v>
      </c>
      <c r="S13" s="11">
        <v>1.4</v>
      </c>
      <c r="T13" s="3">
        <v>2.72</v>
      </c>
    </row>
    <row r="14" spans="1:20" x14ac:dyDescent="0.3">
      <c r="A14" s="1">
        <v>0.9</v>
      </c>
      <c r="B14" s="1">
        <f xml:space="preserve"> 4050</f>
        <v>4050</v>
      </c>
      <c r="C14" s="1">
        <f t="shared" si="0"/>
        <v>90</v>
      </c>
      <c r="D14" s="3">
        <v>249.99</v>
      </c>
      <c r="E14" s="3">
        <f t="shared" si="3"/>
        <v>0.9</v>
      </c>
      <c r="F14" s="3">
        <f t="shared" si="4"/>
        <v>2.7776666666666667</v>
      </c>
      <c r="G14" s="8">
        <v>0.63624999999999998</v>
      </c>
      <c r="H14" s="1">
        <f xml:space="preserve"> 57.262</f>
        <v>57.262</v>
      </c>
      <c r="I14" s="2">
        <f t="shared" si="1"/>
        <v>1.272488888888889</v>
      </c>
      <c r="J14" s="3">
        <v>10.156000000000001</v>
      </c>
      <c r="K14" s="3">
        <f t="shared" si="5"/>
        <v>1.272488888888889</v>
      </c>
      <c r="L14" s="3">
        <f t="shared" si="6"/>
        <v>7.9812091788620725</v>
      </c>
      <c r="M14" s="8">
        <v>0.89117999999999997</v>
      </c>
      <c r="N14" s="1">
        <f xml:space="preserve"> 1925</f>
        <v>1925</v>
      </c>
      <c r="O14" s="2">
        <f t="shared" si="2"/>
        <v>42.777777777777779</v>
      </c>
      <c r="P14" s="3">
        <v>50.802999999999997</v>
      </c>
      <c r="Q14" s="3">
        <f t="shared" si="7"/>
        <v>1.2222222222222223</v>
      </c>
      <c r="R14" s="3">
        <f t="shared" si="8"/>
        <v>1.1876025974025972</v>
      </c>
      <c r="S14" s="11">
        <v>1.6</v>
      </c>
      <c r="T14" s="3">
        <v>2.72</v>
      </c>
    </row>
    <row r="15" spans="1:20" x14ac:dyDescent="0.3">
      <c r="A15" s="1">
        <v>1</v>
      </c>
      <c r="B15" s="1">
        <v>4500</v>
      </c>
      <c r="C15" s="1">
        <f t="shared" si="0"/>
        <v>100</v>
      </c>
      <c r="D15" s="3">
        <v>277.75</v>
      </c>
      <c r="E15" s="3">
        <f t="shared" si="3"/>
        <v>1</v>
      </c>
      <c r="F15" s="3">
        <f t="shared" si="4"/>
        <v>2.7774999999999999</v>
      </c>
      <c r="G15" s="8">
        <v>0.67125000000000001</v>
      </c>
      <c r="H15" s="1">
        <f xml:space="preserve"> 60.413</f>
        <v>60.412999999999997</v>
      </c>
      <c r="I15" s="2">
        <f t="shared" si="1"/>
        <v>1.342511111111111</v>
      </c>
      <c r="J15" s="3">
        <v>11.194000000000001</v>
      </c>
      <c r="K15" s="3">
        <f t="shared" si="5"/>
        <v>1.342511111111111</v>
      </c>
      <c r="L15" s="3">
        <f t="shared" si="6"/>
        <v>8.3381060367801645</v>
      </c>
      <c r="M15" s="8">
        <v>0.92686000000000002</v>
      </c>
      <c r="N15" s="1">
        <f xml:space="preserve"> 2002</f>
        <v>2002</v>
      </c>
      <c r="O15" s="2">
        <f t="shared" si="2"/>
        <v>44.488888888888887</v>
      </c>
      <c r="P15" s="3">
        <v>53.075000000000003</v>
      </c>
      <c r="Q15" s="3">
        <f t="shared" si="7"/>
        <v>1.2711111111111111</v>
      </c>
      <c r="R15" s="3">
        <f t="shared" si="8"/>
        <v>1.1929945054945057</v>
      </c>
      <c r="S15" s="11">
        <v>1.8</v>
      </c>
      <c r="T15" s="3">
        <v>2.72</v>
      </c>
    </row>
    <row r="16" spans="1:20" x14ac:dyDescent="0.3">
      <c r="G16" s="8">
        <v>0.72375</v>
      </c>
      <c r="H16" s="1">
        <f xml:space="preserve"> 65.138</f>
        <v>65.138000000000005</v>
      </c>
      <c r="I16" s="2">
        <f t="shared" si="1"/>
        <v>1.4475111111111112</v>
      </c>
      <c r="J16" s="3">
        <v>12.629</v>
      </c>
      <c r="K16" s="3">
        <f t="shared" si="5"/>
        <v>1.4475111111111112</v>
      </c>
      <c r="L16" s="3">
        <f t="shared" si="6"/>
        <v>8.7246307838742361</v>
      </c>
      <c r="M16" s="8">
        <v>0.95132000000000005</v>
      </c>
      <c r="N16" s="1">
        <f xml:space="preserve"> 2054.8</f>
        <v>2054.8000000000002</v>
      </c>
      <c r="O16" s="2">
        <f t="shared" si="2"/>
        <v>45.662222222222226</v>
      </c>
      <c r="P16" s="3">
        <v>54.478000000000002</v>
      </c>
      <c r="Q16" s="3">
        <f t="shared" si="7"/>
        <v>1.3046349206349208</v>
      </c>
      <c r="R16" s="3">
        <f t="shared" si="8"/>
        <v>1.1930650184932838</v>
      </c>
      <c r="S16" s="11">
        <v>2</v>
      </c>
      <c r="T16" s="3">
        <v>2.72</v>
      </c>
    </row>
    <row r="17" spans="7:20" x14ac:dyDescent="0.3">
      <c r="G17" s="8">
        <v>0.80249999999999999</v>
      </c>
      <c r="H17" s="1">
        <f xml:space="preserve"> 72.225</f>
        <v>72.224999999999994</v>
      </c>
      <c r="I17" s="2">
        <f t="shared" si="1"/>
        <v>1.605</v>
      </c>
      <c r="J17" s="3">
        <v>14.618</v>
      </c>
      <c r="K17" s="3">
        <f t="shared" si="5"/>
        <v>1.605</v>
      </c>
      <c r="L17" s="3">
        <f t="shared" si="6"/>
        <v>9.1077881619937706</v>
      </c>
      <c r="M17" s="8">
        <v>0.96828000000000003</v>
      </c>
      <c r="N17" s="1">
        <f xml:space="preserve"> 2091.5</f>
        <v>2091.5</v>
      </c>
      <c r="O17" s="2">
        <f t="shared" si="2"/>
        <v>46.477777777777774</v>
      </c>
      <c r="P17" s="3">
        <v>55.576999999999998</v>
      </c>
      <c r="Q17" s="3">
        <f t="shared" si="7"/>
        <v>1.3279365079365077</v>
      </c>
      <c r="R17" s="3">
        <f t="shared" si="8"/>
        <v>1.1957757590246236</v>
      </c>
      <c r="S17" s="11"/>
      <c r="T17" s="3"/>
    </row>
    <row r="18" spans="7:20" x14ac:dyDescent="0.3">
      <c r="G18" s="8">
        <v>0.90249999999999997</v>
      </c>
      <c r="H18" s="1">
        <f xml:space="preserve"> 81.225</f>
        <v>81.224999999999994</v>
      </c>
      <c r="I18" s="2">
        <f t="shared" si="1"/>
        <v>1.8049999999999999</v>
      </c>
      <c r="J18" s="3">
        <v>17.007999999999999</v>
      </c>
      <c r="K18" s="3">
        <f t="shared" si="5"/>
        <v>1.8049999999999999</v>
      </c>
      <c r="L18" s="3">
        <f t="shared" si="6"/>
        <v>9.4227146814404428</v>
      </c>
      <c r="M18" s="8">
        <v>0.98124</v>
      </c>
      <c r="N18" s="1">
        <f xml:space="preserve"> 2119.5</f>
        <v>2119.5</v>
      </c>
      <c r="O18" s="2">
        <f t="shared" si="2"/>
        <v>47.1</v>
      </c>
      <c r="P18" s="3">
        <v>56.506999999999998</v>
      </c>
      <c r="Q18" s="3">
        <f t="shared" si="7"/>
        <v>1.3457142857142859</v>
      </c>
      <c r="R18" s="3">
        <f t="shared" si="8"/>
        <v>1.1997239915074309</v>
      </c>
      <c r="S18" s="11"/>
      <c r="T18" s="3"/>
    </row>
    <row r="19" spans="7:20" x14ac:dyDescent="0.3">
      <c r="G19" s="8">
        <v>1</v>
      </c>
      <c r="H19" s="1">
        <v>90</v>
      </c>
      <c r="I19" s="2">
        <f t="shared" si="1"/>
        <v>2</v>
      </c>
      <c r="J19" s="3">
        <v>19.277000000000001</v>
      </c>
      <c r="K19" s="3">
        <f t="shared" si="5"/>
        <v>2</v>
      </c>
      <c r="L19" s="3">
        <f t="shared" si="6"/>
        <v>9.6385000000000005</v>
      </c>
      <c r="M19" s="8">
        <v>0.99080999999999997</v>
      </c>
      <c r="N19" s="1">
        <f xml:space="preserve"> 2140.2</f>
        <v>2140.1999999999998</v>
      </c>
      <c r="O19" s="2">
        <f t="shared" si="2"/>
        <v>47.559999999999995</v>
      </c>
      <c r="P19" s="3">
        <v>57.389000000000003</v>
      </c>
      <c r="Q19" s="3">
        <f t="shared" si="7"/>
        <v>1.3588571428571428</v>
      </c>
      <c r="R19" s="3">
        <f t="shared" si="8"/>
        <v>1.2066652649285114</v>
      </c>
      <c r="S19" s="11"/>
      <c r="T19" s="3"/>
    </row>
    <row r="20" spans="7:20" x14ac:dyDescent="0.3">
      <c r="M20" s="8">
        <v>0.99817</v>
      </c>
      <c r="N20" s="1">
        <f xml:space="preserve"> 2156</f>
        <v>2156</v>
      </c>
      <c r="O20" s="2">
        <f t="shared" si="2"/>
        <v>47.911111111111111</v>
      </c>
      <c r="P20" s="3">
        <v>58.231999999999999</v>
      </c>
      <c r="Q20" s="3">
        <f t="shared" ref="Q20:Q21" si="9">O20/$N$3</f>
        <v>1.3688888888888888</v>
      </c>
      <c r="R20" s="3">
        <f t="shared" ref="R20:R21" si="10">P20/O20</f>
        <v>1.2154174397031539</v>
      </c>
      <c r="S20" s="11"/>
      <c r="T20" s="3"/>
    </row>
    <row r="21" spans="7:20" x14ac:dyDescent="0.3">
      <c r="M21" s="8">
        <v>1</v>
      </c>
      <c r="N21" s="1">
        <v>2160</v>
      </c>
      <c r="O21" s="2">
        <f t="shared" si="2"/>
        <v>48</v>
      </c>
      <c r="P21" s="3">
        <v>58.597999999999999</v>
      </c>
      <c r="Q21" s="3">
        <f t="shared" si="9"/>
        <v>1.3714285714285714</v>
      </c>
      <c r="R21" s="3">
        <f t="shared" si="10"/>
        <v>1.2207916666666667</v>
      </c>
      <c r="S21" s="11"/>
      <c r="T21" s="3"/>
    </row>
  </sheetData>
  <mergeCells count="4">
    <mergeCell ref="A2:F2"/>
    <mergeCell ref="G2:L2"/>
    <mergeCell ref="M2:R2"/>
    <mergeCell ref="S2:T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steel_scf_stress_vs_force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Lytell</dc:creator>
  <cp:lastModifiedBy>Mark Lytell</cp:lastModifiedBy>
  <dcterms:created xsi:type="dcterms:W3CDTF">2024-07-19T16:41:22Z</dcterms:created>
  <dcterms:modified xsi:type="dcterms:W3CDTF">2024-07-19T21:16:29Z</dcterms:modified>
</cp:coreProperties>
</file>